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\Documents\Excel files\LHA-2020\"/>
    </mc:Choice>
  </mc:AlternateContent>
  <bookViews>
    <workbookView xWindow="0" yWindow="0" windowWidth="19200" windowHeight="10995"/>
  </bookViews>
  <sheets>
    <sheet name="FS-HIST" sheetId="1" r:id="rId1"/>
  </sheets>
  <externalReferences>
    <externalReference r:id="rId2"/>
  </externalReferences>
  <definedNames>
    <definedName name="_xlnm.Print_Titles" localSheetId="0">'FS-HIST'!$1:$5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 l="1"/>
  <c r="M79" i="1"/>
  <c r="L79" i="1"/>
  <c r="K79" i="1"/>
  <c r="J79" i="1"/>
  <c r="N74" i="1"/>
  <c r="M74" i="1"/>
  <c r="L74" i="1"/>
  <c r="K74" i="1"/>
  <c r="J74" i="1"/>
  <c r="N67" i="1"/>
  <c r="M67" i="1"/>
  <c r="K67" i="1"/>
  <c r="I67" i="1"/>
  <c r="H67" i="1"/>
  <c r="N65" i="1"/>
  <c r="H65" i="1"/>
  <c r="N64" i="1"/>
  <c r="L62" i="1"/>
  <c r="I62" i="1"/>
  <c r="G62" i="1"/>
  <c r="N60" i="1"/>
  <c r="M60" i="1"/>
  <c r="L60" i="1"/>
  <c r="K60" i="1"/>
  <c r="I60" i="1"/>
  <c r="H60" i="1"/>
  <c r="G60" i="1"/>
  <c r="F60" i="1"/>
  <c r="E60" i="1"/>
  <c r="D60" i="1"/>
  <c r="N59" i="1"/>
  <c r="N58" i="1"/>
  <c r="N55" i="1"/>
  <c r="M55" i="1"/>
  <c r="L55" i="1"/>
  <c r="K55" i="1"/>
  <c r="I55" i="1"/>
  <c r="H55" i="1"/>
  <c r="G55" i="1"/>
  <c r="F55" i="1"/>
  <c r="E55" i="1"/>
  <c r="D55" i="1"/>
  <c r="N54" i="1"/>
  <c r="H54" i="1"/>
  <c r="G54" i="1"/>
  <c r="F54" i="1"/>
  <c r="E54" i="1"/>
  <c r="N53" i="1"/>
  <c r="K53" i="1"/>
  <c r="L49" i="1"/>
  <c r="K49" i="1"/>
  <c r="K62" i="1" s="1"/>
  <c r="I49" i="1"/>
  <c r="G49" i="1"/>
  <c r="F49" i="1"/>
  <c r="F62" i="1" s="1"/>
  <c r="N47" i="1"/>
  <c r="M47" i="1"/>
  <c r="M49" i="1" s="1"/>
  <c r="M62" i="1" s="1"/>
  <c r="L47" i="1"/>
  <c r="K47" i="1"/>
  <c r="I47" i="1"/>
  <c r="H47" i="1"/>
  <c r="G47" i="1"/>
  <c r="F47" i="1"/>
  <c r="E47" i="1"/>
  <c r="D47" i="1"/>
  <c r="N41" i="1"/>
  <c r="M41" i="1"/>
  <c r="L41" i="1"/>
  <c r="D39" i="1"/>
  <c r="N35" i="1"/>
  <c r="N34" i="1"/>
  <c r="N32" i="1"/>
  <c r="N30" i="1"/>
  <c r="N29" i="1"/>
  <c r="N28" i="1"/>
  <c r="N26" i="1"/>
  <c r="G26" i="1"/>
  <c r="D26" i="1"/>
  <c r="N25" i="1"/>
  <c r="N24" i="1"/>
  <c r="F24" i="1"/>
  <c r="N23" i="1"/>
  <c r="M23" i="1"/>
  <c r="F23" i="1"/>
  <c r="E23" i="1"/>
  <c r="D23" i="1"/>
  <c r="N22" i="1"/>
  <c r="J22" i="1"/>
  <c r="G22" i="1"/>
  <c r="F22" i="1"/>
  <c r="E22" i="1"/>
  <c r="D22" i="1"/>
  <c r="N21" i="1"/>
  <c r="M21" i="1"/>
  <c r="F21" i="1"/>
  <c r="N16" i="1"/>
  <c r="N49" i="1" s="1"/>
  <c r="N62" i="1" s="1"/>
  <c r="M16" i="1"/>
  <c r="L16" i="1"/>
  <c r="K16" i="1"/>
  <c r="I16" i="1"/>
  <c r="H16" i="1"/>
  <c r="H49" i="1" s="1"/>
  <c r="H62" i="1" s="1"/>
  <c r="G16" i="1"/>
  <c r="F16" i="1"/>
  <c r="E16" i="1"/>
  <c r="E49" i="1" s="1"/>
  <c r="E62" i="1" s="1"/>
  <c r="D16" i="1"/>
  <c r="D49" i="1" s="1"/>
  <c r="D62" i="1" s="1"/>
  <c r="N14" i="1"/>
  <c r="N13" i="1"/>
  <c r="N11" i="1"/>
  <c r="N9" i="1"/>
  <c r="F9" i="1"/>
  <c r="E9" i="1"/>
  <c r="D9" i="1"/>
  <c r="N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<sst xmlns="http://schemas.openxmlformats.org/spreadsheetml/2006/main" count="64" uniqueCount="60">
  <si>
    <t>LAKE HARDING ASSOCIATION</t>
  </si>
  <si>
    <t>Summary of Financial Transactions</t>
  </si>
  <si>
    <t>REVENUES</t>
  </si>
  <si>
    <t>2016</t>
  </si>
  <si>
    <t>2017</t>
  </si>
  <si>
    <t>2018</t>
  </si>
  <si>
    <t>2019</t>
  </si>
  <si>
    <t>2020</t>
  </si>
  <si>
    <t>Dues</t>
  </si>
  <si>
    <t>Pay Pal receipts from prior year</t>
  </si>
  <si>
    <t>Logo Merchandise Sold</t>
  </si>
  <si>
    <t>Barbeque Tickets sold</t>
  </si>
  <si>
    <t>Ad Sales for Directory</t>
  </si>
  <si>
    <t>LHA computer sale</t>
  </si>
  <si>
    <t>Donations to LHA</t>
  </si>
  <si>
    <t>Fireworks Contributions</t>
  </si>
  <si>
    <t>Georgia Power donation to Rumble on River</t>
  </si>
  <si>
    <t>Total Revenue</t>
  </si>
  <si>
    <t>EXPENSES</t>
  </si>
  <si>
    <t xml:space="preserve">Logo Merchandise </t>
  </si>
  <si>
    <t>PO Box, Postage, Supplies</t>
  </si>
  <si>
    <t>Website services &amp; software expenses</t>
  </si>
  <si>
    <t>Cost of Barbeque</t>
  </si>
  <si>
    <t>Insurance expense</t>
  </si>
  <si>
    <t>Printing phone directory</t>
  </si>
  <si>
    <t>Donations:</t>
  </si>
  <si>
    <t>Antioch Fire Department</t>
  </si>
  <si>
    <t>Beulah Fire Department</t>
  </si>
  <si>
    <t>Beulah Baptist Church-Cross</t>
  </si>
  <si>
    <t>Rumble on River-Fireworks</t>
  </si>
  <si>
    <t>Chattahoochee River Warden</t>
  </si>
  <si>
    <t>American Cancer Society</t>
  </si>
  <si>
    <t>Wake for Warriors, Inc</t>
  </si>
  <si>
    <t>Alzheimer's Association in memory</t>
  </si>
  <si>
    <t>Two Tree Island restoration</t>
  </si>
  <si>
    <t>Water quality monitoring kits</t>
  </si>
  <si>
    <t>State of Georgia Corp. membership</t>
  </si>
  <si>
    <t>LHA computer purchase-Secretary</t>
  </si>
  <si>
    <t>Printing of checks/bank fees/pay pal fees</t>
  </si>
  <si>
    <t>Tax Return Preparation</t>
  </si>
  <si>
    <t>Refunds for prior year</t>
  </si>
  <si>
    <t>Fireworks receipts paid to Rumble on the River</t>
  </si>
  <si>
    <t>LHA Christmas Parade Social</t>
  </si>
  <si>
    <t>Total Expenses</t>
  </si>
  <si>
    <t>NET FOR THE YEAR</t>
  </si>
  <si>
    <t>Beginning Cash Balances:</t>
  </si>
  <si>
    <t>CB&amp;T</t>
  </si>
  <si>
    <t>Pay-Pal</t>
  </si>
  <si>
    <t>Total beginning cash</t>
  </si>
  <si>
    <t>Ending Cash Balances:</t>
  </si>
  <si>
    <t>Total ending cash</t>
  </si>
  <si>
    <t>MEMBERSHIP:</t>
  </si>
  <si>
    <t xml:space="preserve">New members </t>
  </si>
  <si>
    <t>Membership Renewals</t>
  </si>
  <si>
    <t>TOTAL MEMBERS PAYING</t>
  </si>
  <si>
    <t>TOTAL MEMBERS PAID FOR YEAR</t>
  </si>
  <si>
    <t>TOTAL MEMBERS LOST DURING YEAR</t>
  </si>
  <si>
    <t>ALABAMA</t>
  </si>
  <si>
    <t>GEORGIA</t>
  </si>
  <si>
    <t>TOTAL MEMBERS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</si>
</sst>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2" fillId="0" borderId="0" xfId="0" applyFont="1"/>
    <xf numFmtId="0" fontId="2" fillId="0" borderId="0" xfId="0" quotePrefix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14" fontId="3" fillId="0" borderId="0" xfId="0" quotePrefix="1" applyNumberFormat="1" applyFont="1" applyAlignment="1">
      <alignment horizontal="center"/>
    </xf>
    <xf numFmtId="43" fontId="0" fillId="0" borderId="0" xfId="2" applyFont="1"/>
    <xf numFmtId="43" fontId="2" fillId="0" borderId="0" xfId="2" applyFont="1"/>
    <xf numFmtId="43" fontId="0" fillId="0" borderId="1" xfId="2" applyFont="1" applyBorder="1"/>
    <xf numFmtId="0" fontId="2" fillId="0" borderId="0" xfId="0" applyFont="1" applyAlignment="1">
      <alignment horizontal="left"/>
    </xf>
    <xf numFmtId="43" fontId="0" fillId="0" borderId="1" xfId="0" applyNumberFormat="1" applyBorder="1"/>
    <xf numFmtId="43" fontId="0" fillId="0" borderId="0" xfId="2" applyFont="1" applyBorder="1"/>
    <xf numFmtId="43" fontId="0" fillId="0" borderId="0" xfId="0" applyNumberFormat="1"/>
    <xf numFmtId="1" fontId="0" fillId="0" borderId="0" xfId="2" applyNumberFormat="1" applyFont="1" applyAlignment="1">
      <alignment horizontal="center"/>
    </xf>
    <xf numFmtId="0" fontId="3" fillId="0" borderId="0" xfId="0" applyFont="1"/>
    <xf numFmtId="1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A-2020%20ACCOUN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2020"/>
      <sheetName val="FS-HIST"/>
      <sheetName val="disb"/>
      <sheetName val="receipts"/>
      <sheetName val="bANK tRANS"/>
      <sheetName val="pay pal"/>
      <sheetName val="paypal history"/>
      <sheetName val="BBQ History"/>
      <sheetName val="$'s due RMY"/>
      <sheetName val="tax info"/>
      <sheetName val="BBQ-RFP"/>
    </sheetNames>
    <sheetDataSet>
      <sheetData sheetId="0">
        <row r="10">
          <cell r="D10">
            <v>175</v>
          </cell>
        </row>
        <row r="11">
          <cell r="D11">
            <v>50</v>
          </cell>
        </row>
        <row r="12">
          <cell r="D12">
            <v>10700</v>
          </cell>
        </row>
        <row r="20">
          <cell r="D20">
            <v>1692.36</v>
          </cell>
        </row>
        <row r="21">
          <cell r="D21">
            <v>800</v>
          </cell>
        </row>
        <row r="24">
          <cell r="D24">
            <v>1926</v>
          </cell>
        </row>
        <row r="25">
          <cell r="D25">
            <v>11681.23</v>
          </cell>
        </row>
        <row r="26">
          <cell r="D26">
            <v>797.21999999999969</v>
          </cell>
        </row>
        <row r="29">
          <cell r="D29">
            <v>5000</v>
          </cell>
        </row>
        <row r="30">
          <cell r="D30">
            <v>5000</v>
          </cell>
        </row>
        <row r="31">
          <cell r="D31">
            <v>1000</v>
          </cell>
        </row>
        <row r="32">
          <cell r="D32">
            <v>1500</v>
          </cell>
        </row>
        <row r="42">
          <cell r="D42">
            <v>724.62</v>
          </cell>
        </row>
        <row r="47">
          <cell r="D47">
            <v>34367.72</v>
          </cell>
        </row>
        <row r="48">
          <cell r="D48">
            <v>913.22000000000162</v>
          </cell>
        </row>
        <row r="55">
          <cell r="D55">
            <v>104</v>
          </cell>
        </row>
        <row r="56">
          <cell r="D56">
            <v>522</v>
          </cell>
        </row>
      </sheetData>
      <sheetData sheetId="1"/>
      <sheetData sheetId="2">
        <row r="36">
          <cell r="I36">
            <v>3000</v>
          </cell>
        </row>
        <row r="40">
          <cell r="I40">
            <v>200</v>
          </cell>
        </row>
        <row r="44">
          <cell r="G44">
            <v>0</v>
          </cell>
        </row>
        <row r="50">
          <cell r="O50">
            <v>2308.2399999999998</v>
          </cell>
        </row>
        <row r="56">
          <cell r="D56">
            <v>22408.9</v>
          </cell>
        </row>
      </sheetData>
      <sheetData sheetId="3">
        <row r="87">
          <cell r="E87">
            <v>26895</v>
          </cell>
          <cell r="F87">
            <v>7775</v>
          </cell>
          <cell r="G87">
            <v>1300</v>
          </cell>
          <cell r="J87">
            <v>157.47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J79" sqref="J79"/>
    </sheetView>
  </sheetViews>
  <sheetFormatPr defaultRowHeight="12.75" x14ac:dyDescent="0.2"/>
  <cols>
    <col min="3" max="3" width="23.28515625" customWidth="1"/>
    <col min="4" max="6" width="12.42578125" hidden="1" customWidth="1"/>
    <col min="7" max="14" width="12.42578125" customWidth="1"/>
  </cols>
  <sheetData>
    <row r="1" spans="1:14" x14ac:dyDescent="0.2">
      <c r="A1" s="1" t="s">
        <v>0</v>
      </c>
    </row>
    <row r="2" spans="1:14" x14ac:dyDescent="0.2">
      <c r="A2" s="2" t="s">
        <v>1</v>
      </c>
    </row>
    <row r="3" spans="1:14" x14ac:dyDescent="0.2">
      <c r="A3" s="3"/>
    </row>
    <row r="4" spans="1:14" x14ac:dyDescent="0.2">
      <c r="I4" s="4"/>
      <c r="J4" s="4"/>
      <c r="K4" s="5"/>
      <c r="L4" s="5"/>
      <c r="M4" s="4"/>
      <c r="N4" s="4"/>
    </row>
    <row r="5" spans="1:14" x14ac:dyDescent="0.2">
      <c r="A5" s="6" t="s">
        <v>2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8" t="s">
        <v>3</v>
      </c>
      <c r="K5" s="9" t="s">
        <v>4</v>
      </c>
      <c r="L5" s="9" t="s">
        <v>5</v>
      </c>
      <c r="M5" s="9" t="s">
        <v>6</v>
      </c>
      <c r="N5" s="9" t="s">
        <v>7</v>
      </c>
    </row>
    <row r="7" spans="1:14" x14ac:dyDescent="0.2">
      <c r="A7" s="2" t="s">
        <v>8</v>
      </c>
      <c r="D7" s="10">
        <f>2475+3925+500</f>
        <v>6900</v>
      </c>
      <c r="E7" s="10">
        <f>2100+5960+500</f>
        <v>8560</v>
      </c>
      <c r="F7" s="10">
        <f>3900+9300+362.6+551.31</f>
        <v>14113.91</v>
      </c>
      <c r="G7" s="11">
        <f>16067.96-1000+130.39</f>
        <v>15198.349999999999</v>
      </c>
      <c r="H7" s="10">
        <f>20275</f>
        <v>20275</v>
      </c>
      <c r="I7" s="10">
        <v>18350</v>
      </c>
      <c r="J7" s="10">
        <v>15259</v>
      </c>
      <c r="K7" s="10">
        <v>15420</v>
      </c>
      <c r="L7" s="10">
        <v>14850</v>
      </c>
      <c r="M7" s="10">
        <v>24108.83</v>
      </c>
      <c r="N7" s="10">
        <f>+[1]receipts!E87+[1]receipts!F87</f>
        <v>34670</v>
      </c>
    </row>
    <row r="8" spans="1:14" x14ac:dyDescent="0.2">
      <c r="A8" s="2" t="s">
        <v>9</v>
      </c>
      <c r="D8" s="10">
        <v>267.04000000000002</v>
      </c>
      <c r="E8" s="10">
        <v>125.66</v>
      </c>
      <c r="F8" s="10">
        <v>1354.55</v>
      </c>
      <c r="G8" s="11">
        <v>-252.88</v>
      </c>
      <c r="H8" s="10">
        <v>-2244.4899999999998</v>
      </c>
      <c r="I8" s="10"/>
      <c r="J8" s="10"/>
      <c r="K8" s="10"/>
      <c r="L8" s="10"/>
      <c r="M8" s="10"/>
      <c r="N8" s="10"/>
    </row>
    <row r="9" spans="1:14" x14ac:dyDescent="0.2">
      <c r="A9" s="2" t="s">
        <v>10</v>
      </c>
      <c r="D9" s="10">
        <f>270+63+80+39.38+10</f>
        <v>462.38</v>
      </c>
      <c r="E9" s="10">
        <f>270+30+10+35</f>
        <v>345</v>
      </c>
      <c r="F9" s="10">
        <f>255+20+40+10</f>
        <v>325</v>
      </c>
      <c r="G9" s="10">
        <v>656</v>
      </c>
      <c r="H9" s="10">
        <v>1052</v>
      </c>
      <c r="I9" s="10">
        <v>886</v>
      </c>
      <c r="J9" s="10">
        <v>1088</v>
      </c>
      <c r="K9" s="10">
        <v>933</v>
      </c>
      <c r="L9" s="10">
        <v>793</v>
      </c>
      <c r="M9" s="10">
        <v>550</v>
      </c>
      <c r="N9" s="10">
        <f>+[1]receipts!G87+[1]receipts!J87</f>
        <v>1457.47</v>
      </c>
    </row>
    <row r="10" spans="1:14" x14ac:dyDescent="0.2">
      <c r="A10" s="2" t="s">
        <v>11</v>
      </c>
      <c r="D10" s="10">
        <v>970</v>
      </c>
      <c r="E10" s="10">
        <v>913</v>
      </c>
      <c r="F10" s="10">
        <v>1300</v>
      </c>
      <c r="G10" s="10">
        <v>1478</v>
      </c>
      <c r="H10" s="10">
        <v>1830</v>
      </c>
      <c r="I10" s="10">
        <v>40</v>
      </c>
      <c r="J10" s="10"/>
      <c r="K10" s="10"/>
      <c r="L10" s="10"/>
      <c r="M10" s="10"/>
      <c r="N10" s="10"/>
    </row>
    <row r="11" spans="1:14" x14ac:dyDescent="0.2">
      <c r="A11" s="2" t="s">
        <v>12</v>
      </c>
      <c r="D11" s="10">
        <v>8245</v>
      </c>
      <c r="E11" s="10"/>
      <c r="F11" s="10"/>
      <c r="G11" s="10">
        <v>10395</v>
      </c>
      <c r="H11" s="10"/>
      <c r="I11" s="10"/>
      <c r="J11" s="10">
        <v>8880</v>
      </c>
      <c r="K11" s="10">
        <v>425</v>
      </c>
      <c r="L11" s="10"/>
      <c r="M11" s="10">
        <v>5100</v>
      </c>
      <c r="N11" s="10">
        <f>+'[1]FS-2020'!D12</f>
        <v>10700</v>
      </c>
    </row>
    <row r="12" spans="1:14" x14ac:dyDescent="0.2">
      <c r="A12" s="2" t="s">
        <v>13</v>
      </c>
      <c r="D12" s="10"/>
      <c r="E12" s="10"/>
      <c r="F12" s="10"/>
      <c r="G12" s="10"/>
      <c r="H12" s="10"/>
      <c r="I12" s="10">
        <v>1100</v>
      </c>
      <c r="J12" s="10"/>
      <c r="K12" s="10"/>
      <c r="L12" s="10"/>
      <c r="M12" s="10"/>
      <c r="N12" s="10"/>
    </row>
    <row r="13" spans="1:14" x14ac:dyDescent="0.2">
      <c r="A13" s="2" t="s">
        <v>14</v>
      </c>
      <c r="D13" s="10"/>
      <c r="E13" s="10"/>
      <c r="F13" s="10"/>
      <c r="G13" s="10"/>
      <c r="H13" s="10"/>
      <c r="I13" s="10"/>
      <c r="J13" s="10">
        <v>132</v>
      </c>
      <c r="K13" s="10">
        <v>200</v>
      </c>
      <c r="L13" s="10">
        <v>95</v>
      </c>
      <c r="M13" s="10"/>
      <c r="N13" s="10">
        <f>+'[1]FS-2020'!D11</f>
        <v>50</v>
      </c>
    </row>
    <row r="14" spans="1:14" x14ac:dyDescent="0.2">
      <c r="A14" s="2" t="s">
        <v>15</v>
      </c>
      <c r="D14" s="10"/>
      <c r="E14" s="10"/>
      <c r="F14" s="10"/>
      <c r="G14" s="10"/>
      <c r="H14" s="10"/>
      <c r="I14" s="10">
        <v>150</v>
      </c>
      <c r="J14" s="10"/>
      <c r="K14" s="10"/>
      <c r="L14" s="10">
        <v>175</v>
      </c>
      <c r="M14" s="10">
        <v>125</v>
      </c>
      <c r="N14" s="10">
        <f>+'[1]FS-2020'!D10</f>
        <v>175</v>
      </c>
    </row>
    <row r="15" spans="1:14" x14ac:dyDescent="0.2">
      <c r="A15" s="2" t="s">
        <v>16</v>
      </c>
      <c r="D15" s="10"/>
      <c r="E15" s="10"/>
      <c r="F15" s="10">
        <v>1000</v>
      </c>
      <c r="G15" s="10">
        <v>1000</v>
      </c>
      <c r="H15" s="10"/>
      <c r="I15" s="10"/>
      <c r="J15" s="10"/>
      <c r="K15" s="10"/>
      <c r="L15" s="10"/>
      <c r="M15" s="10"/>
      <c r="N15" s="10"/>
    </row>
    <row r="16" spans="1:14" x14ac:dyDescent="0.2">
      <c r="B16" s="2" t="s">
        <v>17</v>
      </c>
      <c r="D16" s="12">
        <f t="shared" ref="D16:I16" si="0">SUM(D7:D15)</f>
        <v>16844.419999999998</v>
      </c>
      <c r="E16" s="12">
        <f t="shared" si="0"/>
        <v>9943.66</v>
      </c>
      <c r="F16" s="12">
        <f t="shared" si="0"/>
        <v>18093.46</v>
      </c>
      <c r="G16" s="12">
        <f t="shared" si="0"/>
        <v>28474.47</v>
      </c>
      <c r="H16" s="12">
        <f t="shared" si="0"/>
        <v>20912.510000000002</v>
      </c>
      <c r="I16" s="12">
        <f t="shared" si="0"/>
        <v>20526</v>
      </c>
      <c r="J16" s="12">
        <v>25359</v>
      </c>
      <c r="K16" s="12">
        <f>SUM(K7:K15)</f>
        <v>16978</v>
      </c>
      <c r="L16" s="12">
        <f>SUM(L7:L15)</f>
        <v>15913</v>
      </c>
      <c r="M16" s="12">
        <f>SUM(M7:M15)</f>
        <v>29883.83</v>
      </c>
      <c r="N16" s="12">
        <f>SUM(N7:N15)</f>
        <v>47052.47</v>
      </c>
    </row>
    <row r="17" spans="1:14" x14ac:dyDescent="0.2"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"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">
      <c r="A20" s="6" t="s">
        <v>18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2" t="s">
        <v>19</v>
      </c>
      <c r="D21" s="10"/>
      <c r="E21" s="10"/>
      <c r="F21" s="10">
        <f>40.25+445.12+1050</f>
        <v>1535.37</v>
      </c>
      <c r="G21" s="10">
        <v>100.2</v>
      </c>
      <c r="H21" s="10">
        <v>2976.48</v>
      </c>
      <c r="I21" s="10">
        <v>324</v>
      </c>
      <c r="J21" s="10">
        <v>232.11</v>
      </c>
      <c r="K21" s="10">
        <v>0</v>
      </c>
      <c r="L21" s="10">
        <v>240</v>
      </c>
      <c r="M21" s="10">
        <f>+'[1]FS-2020'!C18</f>
        <v>0</v>
      </c>
      <c r="N21" s="10">
        <f>+[1]disb!O50</f>
        <v>2308.2399999999998</v>
      </c>
    </row>
    <row r="22" spans="1:14" x14ac:dyDescent="0.2">
      <c r="A22" s="2" t="s">
        <v>20</v>
      </c>
      <c r="D22" s="10">
        <f>416.53+18.7+217.66+13.35+0.19</f>
        <v>666.43000000000006</v>
      </c>
      <c r="E22" s="10">
        <f>343.56+48.12+42.61+23.33+29.96</f>
        <v>487.58</v>
      </c>
      <c r="F22" s="10">
        <f>53.44+6.4+143.36+35.61</f>
        <v>238.81</v>
      </c>
      <c r="G22" s="10">
        <f>429.65+77</f>
        <v>506.65</v>
      </c>
      <c r="H22" s="10">
        <v>908.5</v>
      </c>
      <c r="I22" s="10">
        <v>323.32</v>
      </c>
      <c r="J22" s="10">
        <f>833.28-30</f>
        <v>803.28</v>
      </c>
      <c r="K22" s="10">
        <v>559.27</v>
      </c>
      <c r="L22" s="10">
        <v>875.79</v>
      </c>
      <c r="M22" s="10">
        <v>235.74</v>
      </c>
      <c r="N22" s="10">
        <f>+'[1]FS-2020'!D20</f>
        <v>1692.36</v>
      </c>
    </row>
    <row r="23" spans="1:14" x14ac:dyDescent="0.2">
      <c r="A23" s="2" t="s">
        <v>21</v>
      </c>
      <c r="D23" s="10">
        <f>15+75+105+30+245+375</f>
        <v>845</v>
      </c>
      <c r="E23" s="10">
        <f>30+15+135+30+30+15+75+140</f>
        <v>470</v>
      </c>
      <c r="F23" s="10">
        <f>45+180+694.37+40+210+355+90+30+30+15+75+90+30+75+30+50+30</f>
        <v>2069.37</v>
      </c>
      <c r="G23" s="10">
        <v>2338.15</v>
      </c>
      <c r="H23" s="10">
        <v>1280.54</v>
      </c>
      <c r="I23" s="10">
        <v>425</v>
      </c>
      <c r="J23" s="10">
        <v>1500</v>
      </c>
      <c r="K23" s="10">
        <v>148.4</v>
      </c>
      <c r="L23" s="10">
        <v>3960.5</v>
      </c>
      <c r="M23" s="10">
        <f>+'[1]FS-2020'!C20</f>
        <v>0</v>
      </c>
      <c r="N23" s="10">
        <f>+'[1]FS-2020'!D21</f>
        <v>800</v>
      </c>
    </row>
    <row r="24" spans="1:14" x14ac:dyDescent="0.2">
      <c r="A24" s="2" t="s">
        <v>22</v>
      </c>
      <c r="D24" s="10">
        <v>1350</v>
      </c>
      <c r="E24" s="10">
        <v>1470</v>
      </c>
      <c r="F24" s="10">
        <f>210+1900-200</f>
        <v>1910</v>
      </c>
      <c r="G24" s="10">
        <v>2250</v>
      </c>
      <c r="H24" s="10">
        <v>2490</v>
      </c>
      <c r="I24" s="10">
        <v>3186</v>
      </c>
      <c r="J24" s="10">
        <v>3240</v>
      </c>
      <c r="K24" s="10">
        <v>3550</v>
      </c>
      <c r="L24" s="10">
        <v>4325</v>
      </c>
      <c r="M24" s="10">
        <v>4076.42</v>
      </c>
      <c r="N24" s="10">
        <f>+[1]disb!G44</f>
        <v>0</v>
      </c>
    </row>
    <row r="25" spans="1:14" x14ac:dyDescent="0.2">
      <c r="A25" s="2" t="s">
        <v>23</v>
      </c>
      <c r="D25" s="10"/>
      <c r="E25" s="10"/>
      <c r="F25" s="10"/>
      <c r="G25" s="10"/>
      <c r="H25" s="10"/>
      <c r="I25" s="10"/>
      <c r="J25" s="10">
        <v>2101</v>
      </c>
      <c r="K25" s="10">
        <v>1770</v>
      </c>
      <c r="L25" s="10">
        <v>1927</v>
      </c>
      <c r="M25" s="10">
        <v>2162</v>
      </c>
      <c r="N25" s="10">
        <f>+'[1]FS-2020'!D24</f>
        <v>1926</v>
      </c>
    </row>
    <row r="26" spans="1:14" x14ac:dyDescent="0.2">
      <c r="A26" s="2" t="s">
        <v>24</v>
      </c>
      <c r="D26" s="10">
        <f>4500+414.61+950.31</f>
        <v>5864.92</v>
      </c>
      <c r="E26" s="10"/>
      <c r="F26" s="10">
        <v>1500</v>
      </c>
      <c r="G26" s="10">
        <f>1500+1500+3127.92+603.84</f>
        <v>6731.76</v>
      </c>
      <c r="H26" s="10"/>
      <c r="I26" s="10"/>
      <c r="J26" s="10">
        <v>8671.9100000000017</v>
      </c>
      <c r="K26" s="10"/>
      <c r="L26" s="10"/>
      <c r="M26" s="10"/>
      <c r="N26" s="10">
        <f>+'[1]FS-2020'!D25</f>
        <v>11681.23</v>
      </c>
    </row>
    <row r="27" spans="1:14" x14ac:dyDescent="0.2">
      <c r="A27" s="6" t="s">
        <v>25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">
      <c r="A28" s="2" t="s">
        <v>26</v>
      </c>
      <c r="D28" s="10">
        <v>1000</v>
      </c>
      <c r="E28" s="10">
        <v>2400</v>
      </c>
      <c r="F28" s="10">
        <v>1000</v>
      </c>
      <c r="G28" s="10">
        <v>2000</v>
      </c>
      <c r="H28" s="10">
        <v>3000</v>
      </c>
      <c r="I28" s="10">
        <v>5000</v>
      </c>
      <c r="J28" s="10">
        <v>5000</v>
      </c>
      <c r="K28" s="10">
        <v>5000</v>
      </c>
      <c r="L28" s="10">
        <v>5000</v>
      </c>
      <c r="M28" s="10">
        <v>2000</v>
      </c>
      <c r="N28" s="10">
        <f>+'[1]FS-2020'!D29</f>
        <v>5000</v>
      </c>
    </row>
    <row r="29" spans="1:14" x14ac:dyDescent="0.2">
      <c r="A29" s="2" t="s">
        <v>27</v>
      </c>
      <c r="D29" s="10">
        <v>1000</v>
      </c>
      <c r="E29" s="10">
        <v>1500</v>
      </c>
      <c r="F29" s="10">
        <v>1000</v>
      </c>
      <c r="G29" s="10">
        <v>2000</v>
      </c>
      <c r="H29" s="10">
        <v>3000</v>
      </c>
      <c r="I29" s="10">
        <v>5000</v>
      </c>
      <c r="J29" s="10">
        <v>5000</v>
      </c>
      <c r="K29" s="10">
        <v>5000</v>
      </c>
      <c r="L29" s="10">
        <v>5000</v>
      </c>
      <c r="M29" s="10">
        <v>2000</v>
      </c>
      <c r="N29" s="10">
        <f>+'[1]FS-2020'!D30</f>
        <v>5000</v>
      </c>
    </row>
    <row r="30" spans="1:14" x14ac:dyDescent="0.2">
      <c r="A30" s="2" t="s">
        <v>28</v>
      </c>
      <c r="D30" s="10">
        <v>1000</v>
      </c>
      <c r="E30" s="10">
        <v>2000</v>
      </c>
      <c r="F30" s="10">
        <v>500</v>
      </c>
      <c r="G30" s="10">
        <v>1000</v>
      </c>
      <c r="H30" s="10">
        <v>1000</v>
      </c>
      <c r="I30" s="10">
        <v>1000</v>
      </c>
      <c r="J30" s="10">
        <v>1000</v>
      </c>
      <c r="K30" s="10">
        <v>1000</v>
      </c>
      <c r="L30" s="10">
        <v>1000</v>
      </c>
      <c r="M30" s="10">
        <v>1000</v>
      </c>
      <c r="N30" s="10">
        <f>+'[1]FS-2020'!D31</f>
        <v>1000</v>
      </c>
    </row>
    <row r="31" spans="1:14" x14ac:dyDescent="0.2">
      <c r="A31" s="2" t="s">
        <v>29</v>
      </c>
      <c r="D31" s="10">
        <v>2000</v>
      </c>
      <c r="E31" s="10">
        <v>5000</v>
      </c>
      <c r="F31" s="10">
        <v>3000</v>
      </c>
      <c r="G31" s="10">
        <v>2100</v>
      </c>
      <c r="H31" s="10">
        <v>2000</v>
      </c>
      <c r="I31" s="10">
        <v>2000</v>
      </c>
      <c r="J31" s="10">
        <v>0</v>
      </c>
      <c r="K31" s="10">
        <v>0</v>
      </c>
      <c r="L31" s="10"/>
      <c r="M31" s="10"/>
      <c r="N31" s="10"/>
    </row>
    <row r="32" spans="1:14" x14ac:dyDescent="0.2">
      <c r="A32" s="2" t="s">
        <v>30</v>
      </c>
      <c r="D32" s="10"/>
      <c r="E32" s="10">
        <v>3500</v>
      </c>
      <c r="F32" s="10"/>
      <c r="G32" s="10">
        <v>1000</v>
      </c>
      <c r="H32" s="10">
        <v>1000</v>
      </c>
      <c r="I32" s="10">
        <v>1000</v>
      </c>
      <c r="J32" s="10">
        <v>1000</v>
      </c>
      <c r="K32" s="10">
        <v>1000</v>
      </c>
      <c r="L32" s="10">
        <v>2000</v>
      </c>
      <c r="M32" s="10">
        <v>1000</v>
      </c>
      <c r="N32" s="10">
        <f>+'[1]FS-2020'!D32</f>
        <v>1500</v>
      </c>
    </row>
    <row r="33" spans="1:14" x14ac:dyDescent="0.2">
      <c r="A33" s="2" t="s">
        <v>31</v>
      </c>
      <c r="D33" s="10"/>
      <c r="E33" s="10"/>
      <c r="F33" s="10"/>
      <c r="G33" s="10"/>
      <c r="H33" s="10"/>
      <c r="I33" s="10"/>
      <c r="J33" s="10"/>
      <c r="K33" s="10"/>
      <c r="L33" s="10">
        <v>500</v>
      </c>
      <c r="M33" s="10">
        <v>1302.18</v>
      </c>
      <c r="N33" s="10"/>
    </row>
    <row r="34" spans="1:14" x14ac:dyDescent="0.2">
      <c r="A34" s="2" t="s">
        <v>32</v>
      </c>
      <c r="D34" s="10"/>
      <c r="E34" s="10"/>
      <c r="F34" s="10"/>
      <c r="G34" s="10"/>
      <c r="H34" s="10"/>
      <c r="I34" s="10"/>
      <c r="J34" s="10"/>
      <c r="K34" s="10">
        <v>500</v>
      </c>
      <c r="L34" s="10"/>
      <c r="M34" s="10"/>
      <c r="N34" s="10">
        <f>+[1]disb!I36</f>
        <v>3000</v>
      </c>
    </row>
    <row r="35" spans="1:14" x14ac:dyDescent="0.2">
      <c r="A35" s="13" t="s">
        <v>33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f>+[1]disb!I40</f>
        <v>200</v>
      </c>
    </row>
    <row r="36" spans="1:14" x14ac:dyDescent="0.2">
      <c r="A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2" t="s">
        <v>34</v>
      </c>
      <c r="D37" s="10">
        <v>932.78</v>
      </c>
      <c r="E37" s="10">
        <v>973.86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2" t="s">
        <v>35</v>
      </c>
      <c r="D38" s="10"/>
      <c r="E38" s="10"/>
      <c r="F38" s="10"/>
      <c r="G38" s="10"/>
      <c r="H38" s="10"/>
      <c r="I38" s="10">
        <v>600</v>
      </c>
      <c r="J38" s="10">
        <v>180.72</v>
      </c>
      <c r="K38" s="10"/>
      <c r="L38" s="10"/>
      <c r="M38" s="10"/>
      <c r="N38" s="10"/>
    </row>
    <row r="39" spans="1:14" x14ac:dyDescent="0.2">
      <c r="A39" s="2" t="s">
        <v>36</v>
      </c>
      <c r="D39" s="10">
        <f>30+10</f>
        <v>40</v>
      </c>
      <c r="E39" s="10">
        <v>50</v>
      </c>
      <c r="F39" s="10"/>
      <c r="G39" s="10">
        <v>30</v>
      </c>
      <c r="H39" s="10">
        <v>30</v>
      </c>
      <c r="I39" s="10">
        <v>30</v>
      </c>
      <c r="J39" s="10">
        <v>30</v>
      </c>
      <c r="K39" s="10">
        <v>30</v>
      </c>
      <c r="L39" s="10">
        <v>30</v>
      </c>
      <c r="M39" s="10">
        <v>30</v>
      </c>
      <c r="N39" s="10">
        <v>30</v>
      </c>
    </row>
    <row r="40" spans="1:14" x14ac:dyDescent="0.2">
      <c r="A40" s="2" t="s">
        <v>37</v>
      </c>
      <c r="D40" s="10"/>
      <c r="E40" s="10"/>
      <c r="F40" s="10"/>
      <c r="G40" s="10"/>
      <c r="H40" s="10">
        <v>1781.15</v>
      </c>
      <c r="I40" s="10">
        <v>995.02</v>
      </c>
      <c r="J40" s="10"/>
      <c r="K40" s="10"/>
      <c r="L40" s="10"/>
      <c r="M40" s="10"/>
      <c r="N40" s="10"/>
    </row>
    <row r="41" spans="1:14" x14ac:dyDescent="0.2">
      <c r="A41" s="2" t="s">
        <v>38</v>
      </c>
      <c r="D41" s="10"/>
      <c r="E41" s="10"/>
      <c r="F41" s="10"/>
      <c r="G41" s="10"/>
      <c r="H41" s="10">
        <v>122.92</v>
      </c>
      <c r="I41" s="10">
        <v>134.11000000000001</v>
      </c>
      <c r="J41" s="10">
        <v>91.3</v>
      </c>
      <c r="K41" s="10">
        <v>56.66</v>
      </c>
      <c r="L41" s="10">
        <f>375.4-30</f>
        <v>345.4</v>
      </c>
      <c r="M41" s="10">
        <f>474.46-30</f>
        <v>444.46</v>
      </c>
      <c r="N41" s="10">
        <f>+'[1]FS-2020'!D26-30</f>
        <v>767.21999999999969</v>
      </c>
    </row>
    <row r="42" spans="1:14" x14ac:dyDescent="0.2">
      <c r="A42" s="2" t="s">
        <v>39</v>
      </c>
      <c r="D42" s="10"/>
      <c r="E42" s="10"/>
      <c r="F42" s="10">
        <v>275</v>
      </c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2" t="s">
        <v>40</v>
      </c>
      <c r="D43" s="10"/>
      <c r="E43" s="10">
        <v>250</v>
      </c>
      <c r="F43" s="10"/>
      <c r="G43" s="10"/>
      <c r="H43" s="10">
        <v>175</v>
      </c>
      <c r="I43" s="10"/>
      <c r="J43" s="10"/>
      <c r="K43" s="10"/>
      <c r="L43" s="10"/>
      <c r="M43" s="10"/>
      <c r="N43" s="10"/>
    </row>
    <row r="44" spans="1:14" x14ac:dyDescent="0.2">
      <c r="A44" s="2" t="s">
        <v>41</v>
      </c>
      <c r="D44" s="10"/>
      <c r="E44" s="10"/>
      <c r="F44" s="10"/>
      <c r="G44" s="10"/>
      <c r="H44" s="10"/>
      <c r="I44" s="10">
        <v>250</v>
      </c>
      <c r="J44" s="10"/>
      <c r="K44" s="10"/>
      <c r="L44" s="10"/>
      <c r="M44" s="10"/>
      <c r="N44" s="10"/>
    </row>
    <row r="45" spans="1:14" x14ac:dyDescent="0.2">
      <c r="A45" s="2" t="s">
        <v>42</v>
      </c>
      <c r="D45" s="10"/>
      <c r="E45" s="10"/>
      <c r="F45" s="10">
        <v>300</v>
      </c>
      <c r="G45" s="10"/>
      <c r="H45" s="10"/>
      <c r="I45" s="10">
        <v>392.42</v>
      </c>
      <c r="J45" s="10"/>
      <c r="K45" s="10">
        <v>259.85000000000002</v>
      </c>
      <c r="L45" s="10"/>
      <c r="M45" s="10"/>
      <c r="N45" s="10"/>
    </row>
    <row r="46" spans="1:14" x14ac:dyDescent="0.2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2">
      <c r="B47" s="2" t="s">
        <v>43</v>
      </c>
      <c r="D47" s="12">
        <f t="shared" ref="D47:I47" si="1">SUM(D21:D46)</f>
        <v>14699.130000000001</v>
      </c>
      <c r="E47" s="12">
        <f t="shared" si="1"/>
        <v>18101.440000000002</v>
      </c>
      <c r="F47" s="12">
        <f t="shared" si="1"/>
        <v>13328.55</v>
      </c>
      <c r="G47" s="12">
        <f t="shared" si="1"/>
        <v>20056.760000000002</v>
      </c>
      <c r="H47" s="12">
        <f t="shared" si="1"/>
        <v>19764.59</v>
      </c>
      <c r="I47" s="12">
        <f t="shared" si="1"/>
        <v>20659.87</v>
      </c>
      <c r="J47" s="12">
        <v>28850.320000000003</v>
      </c>
      <c r="K47" s="12">
        <f>SUM(K21:K46)</f>
        <v>18874.179999999997</v>
      </c>
      <c r="L47" s="12">
        <f>SUM(L21:L46)</f>
        <v>25203.690000000002</v>
      </c>
      <c r="M47" s="12">
        <f>SUM(M21:M46)</f>
        <v>14250.8</v>
      </c>
      <c r="N47" s="12">
        <f>SUM(N21:N46)</f>
        <v>34905.050000000003</v>
      </c>
    </row>
    <row r="49" spans="1:14" x14ac:dyDescent="0.2">
      <c r="A49" s="2" t="s">
        <v>44</v>
      </c>
      <c r="D49" s="14">
        <f t="shared" ref="D49:I49" si="2">+D16-D47</f>
        <v>2145.2899999999972</v>
      </c>
      <c r="E49" s="14">
        <f t="shared" si="2"/>
        <v>-8157.7800000000025</v>
      </c>
      <c r="F49" s="14">
        <f t="shared" si="2"/>
        <v>4764.91</v>
      </c>
      <c r="G49" s="14">
        <f t="shared" si="2"/>
        <v>8417.7099999999991</v>
      </c>
      <c r="H49" s="14">
        <f t="shared" si="2"/>
        <v>1147.9200000000019</v>
      </c>
      <c r="I49" s="14">
        <f t="shared" si="2"/>
        <v>-133.86999999999898</v>
      </c>
      <c r="J49" s="14">
        <v>-3491.3200000000033</v>
      </c>
      <c r="K49" s="14">
        <f>+K16-K47</f>
        <v>-1896.1799999999967</v>
      </c>
      <c r="L49" s="14">
        <f>+L16-L47</f>
        <v>-9290.6900000000023</v>
      </c>
      <c r="M49" s="14">
        <f>+M16-M47</f>
        <v>15633.030000000002</v>
      </c>
      <c r="N49" s="14">
        <f>+N16-N47</f>
        <v>12147.419999999998</v>
      </c>
    </row>
    <row r="52" spans="1:14" x14ac:dyDescent="0.2">
      <c r="A52" s="2" t="s">
        <v>45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">
      <c r="B53" s="2" t="s">
        <v>46</v>
      </c>
      <c r="D53" s="10">
        <v>14387.2</v>
      </c>
      <c r="E53" s="10">
        <v>16265.45</v>
      </c>
      <c r="F53" s="10">
        <v>7982.01</v>
      </c>
      <c r="G53" s="10">
        <v>11416.34</v>
      </c>
      <c r="H53" s="10">
        <v>18606.09</v>
      </c>
      <c r="I53" s="10">
        <v>21998.5</v>
      </c>
      <c r="J53" s="10">
        <v>22178.68</v>
      </c>
      <c r="K53" s="10">
        <f>+J58</f>
        <v>18687.359999999997</v>
      </c>
      <c r="L53" s="10">
        <v>16791.18</v>
      </c>
      <c r="M53" s="10">
        <v>7258.96</v>
      </c>
      <c r="N53" s="10">
        <f>+[1]disb!D56</f>
        <v>22408.9</v>
      </c>
    </row>
    <row r="54" spans="1:14" x14ac:dyDescent="0.2">
      <c r="B54" s="2" t="s">
        <v>47</v>
      </c>
      <c r="D54" s="10">
        <v>0</v>
      </c>
      <c r="E54" s="10">
        <f>+D59</f>
        <v>267.04000000000002</v>
      </c>
      <c r="F54" s="10">
        <f>+E59</f>
        <v>392.7</v>
      </c>
      <c r="G54" s="10">
        <f>+F59</f>
        <v>1330.58</v>
      </c>
      <c r="H54" s="10">
        <f>+G59</f>
        <v>2558.54</v>
      </c>
      <c r="I54" s="10">
        <v>314.05</v>
      </c>
      <c r="J54" s="10">
        <v>0</v>
      </c>
      <c r="K54" s="10">
        <v>0</v>
      </c>
      <c r="L54" s="10">
        <v>0</v>
      </c>
      <c r="M54" s="10">
        <v>241.53</v>
      </c>
      <c r="N54" s="10">
        <f>+'[1]FS-2020'!D42</f>
        <v>724.62</v>
      </c>
    </row>
    <row r="55" spans="1:14" x14ac:dyDescent="0.2">
      <c r="B55" s="2" t="s">
        <v>48</v>
      </c>
      <c r="D55" s="12">
        <f t="shared" ref="D55:I55" si="3">SUM(D53:D54)</f>
        <v>14387.2</v>
      </c>
      <c r="E55" s="12">
        <f t="shared" si="3"/>
        <v>16532.490000000002</v>
      </c>
      <c r="F55" s="12">
        <f t="shared" si="3"/>
        <v>8374.7100000000009</v>
      </c>
      <c r="G55" s="12">
        <f t="shared" si="3"/>
        <v>12746.92</v>
      </c>
      <c r="H55" s="12">
        <f t="shared" si="3"/>
        <v>21164.63</v>
      </c>
      <c r="I55" s="12">
        <f t="shared" si="3"/>
        <v>22312.55</v>
      </c>
      <c r="J55" s="12">
        <v>22178.68</v>
      </c>
      <c r="K55" s="12">
        <f>SUM(K53:K54)</f>
        <v>18687.359999999997</v>
      </c>
      <c r="L55" s="12">
        <f>SUM(L53:L54)</f>
        <v>16791.18</v>
      </c>
      <c r="M55" s="12">
        <f>SUM(M53:M54)</f>
        <v>7500.49</v>
      </c>
      <c r="N55" s="12">
        <f>SUM(N53:N54)</f>
        <v>23133.52</v>
      </c>
    </row>
    <row r="56" spans="1:14" x14ac:dyDescent="0.2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A57" s="2" t="s">
        <v>49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">
      <c r="B58" s="2" t="s">
        <v>46</v>
      </c>
      <c r="D58" s="15">
        <v>16265.45</v>
      </c>
      <c r="E58" s="15">
        <v>7982.01</v>
      </c>
      <c r="F58" s="15">
        <v>11809.04</v>
      </c>
      <c r="G58" s="15">
        <v>18606.09</v>
      </c>
      <c r="H58" s="15">
        <v>21998.5</v>
      </c>
      <c r="I58" s="15">
        <v>22178.68</v>
      </c>
      <c r="J58" s="15">
        <v>18687.359999999997</v>
      </c>
      <c r="K58" s="15">
        <v>16791.18</v>
      </c>
      <c r="L58" s="15">
        <v>7258.96</v>
      </c>
      <c r="M58" s="15">
        <v>22408.9</v>
      </c>
      <c r="N58" s="15">
        <f>+'[1]FS-2020'!D47</f>
        <v>34367.72</v>
      </c>
    </row>
    <row r="59" spans="1:14" x14ac:dyDescent="0.2">
      <c r="B59" s="2" t="s">
        <v>47</v>
      </c>
      <c r="D59" s="15">
        <v>267.04000000000002</v>
      </c>
      <c r="E59" s="15">
        <v>392.7</v>
      </c>
      <c r="F59" s="15">
        <v>1330.58</v>
      </c>
      <c r="G59" s="15">
        <v>2558.54</v>
      </c>
      <c r="H59" s="15">
        <v>314.05</v>
      </c>
      <c r="I59" s="15">
        <v>0</v>
      </c>
      <c r="J59" s="15">
        <v>0</v>
      </c>
      <c r="K59" s="15">
        <v>0</v>
      </c>
      <c r="L59" s="15">
        <v>241.53</v>
      </c>
      <c r="M59" s="15">
        <v>724.62</v>
      </c>
      <c r="N59" s="15">
        <f>+'[1]FS-2020'!D48</f>
        <v>913.22000000000162</v>
      </c>
    </row>
    <row r="60" spans="1:14" x14ac:dyDescent="0.2">
      <c r="B60" s="2" t="s">
        <v>50</v>
      </c>
      <c r="D60" s="12">
        <f t="shared" ref="D60:I60" si="4">SUM(D58:D59)</f>
        <v>16532.490000000002</v>
      </c>
      <c r="E60" s="12">
        <f t="shared" si="4"/>
        <v>8374.7100000000009</v>
      </c>
      <c r="F60" s="12">
        <f t="shared" si="4"/>
        <v>13139.62</v>
      </c>
      <c r="G60" s="12">
        <f t="shared" si="4"/>
        <v>21164.63</v>
      </c>
      <c r="H60" s="12">
        <f t="shared" si="4"/>
        <v>22312.55</v>
      </c>
      <c r="I60" s="12">
        <f t="shared" si="4"/>
        <v>22178.68</v>
      </c>
      <c r="J60" s="12">
        <v>18687.359999999997</v>
      </c>
      <c r="K60" s="12">
        <f>SUM(K58:K59)</f>
        <v>16791.18</v>
      </c>
      <c r="L60" s="12">
        <f>SUM(L58:L59)</f>
        <v>7500.49</v>
      </c>
      <c r="M60" s="12">
        <f>SUM(M58:M59)</f>
        <v>23133.52</v>
      </c>
      <c r="N60" s="12">
        <f>SUM(N58:N59)</f>
        <v>35280.94</v>
      </c>
    </row>
    <row r="61" spans="1:14" x14ac:dyDescent="0.2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D62" s="10">
        <f t="shared" ref="D62:I62" si="5">+D49+D55-D60</f>
        <v>0</v>
      </c>
      <c r="E62" s="10">
        <f t="shared" si="5"/>
        <v>0</v>
      </c>
      <c r="F62" s="10">
        <f t="shared" si="5"/>
        <v>0</v>
      </c>
      <c r="G62" s="10">
        <f t="shared" si="5"/>
        <v>0</v>
      </c>
      <c r="H62" s="10">
        <f t="shared" si="5"/>
        <v>0</v>
      </c>
      <c r="I62" s="10">
        <f t="shared" si="5"/>
        <v>0</v>
      </c>
      <c r="J62" s="10">
        <v>0</v>
      </c>
      <c r="K62" s="10">
        <f>+K49+K55-K60</f>
        <v>0</v>
      </c>
      <c r="L62" s="10">
        <f>+L49+L55-L60</f>
        <v>0</v>
      </c>
      <c r="M62" s="10">
        <f>+M49+M55-M60</f>
        <v>0</v>
      </c>
      <c r="N62" s="10">
        <f>+N49+N55-N60</f>
        <v>0</v>
      </c>
    </row>
    <row r="63" spans="1:14" x14ac:dyDescent="0.2">
      <c r="A63" s="6" t="s">
        <v>51</v>
      </c>
      <c r="D63" s="10"/>
      <c r="F63" s="16"/>
      <c r="G63" s="16"/>
      <c r="H63" s="10"/>
      <c r="I63" s="10"/>
      <c r="J63" s="10"/>
      <c r="K63" s="10"/>
      <c r="L63" s="10"/>
      <c r="M63" s="10"/>
      <c r="N63" s="10"/>
    </row>
    <row r="64" spans="1:14" x14ac:dyDescent="0.2">
      <c r="A64" t="s">
        <v>52</v>
      </c>
      <c r="D64" s="17"/>
      <c r="H64" s="17">
        <v>81</v>
      </c>
      <c r="I64" s="17">
        <v>48</v>
      </c>
      <c r="J64" s="17">
        <v>38</v>
      </c>
      <c r="K64" s="17">
        <v>32</v>
      </c>
      <c r="L64" s="17">
        <v>34</v>
      </c>
      <c r="M64" s="17">
        <v>51</v>
      </c>
      <c r="N64" s="17">
        <f>+'[1]FS-2020'!D55</f>
        <v>104</v>
      </c>
    </row>
    <row r="65" spans="1:14" x14ac:dyDescent="0.2">
      <c r="A65" t="s">
        <v>53</v>
      </c>
      <c r="D65" s="17"/>
      <c r="H65" s="17">
        <f>508-81</f>
        <v>427</v>
      </c>
      <c r="I65" s="17">
        <v>536</v>
      </c>
      <c r="J65" s="17">
        <v>486</v>
      </c>
      <c r="K65" s="17">
        <v>502</v>
      </c>
      <c r="L65" s="17">
        <v>481</v>
      </c>
      <c r="M65" s="17">
        <v>559</v>
      </c>
      <c r="N65" s="17">
        <f>+'[1]FS-2020'!D56</f>
        <v>522</v>
      </c>
    </row>
    <row r="66" spans="1:14" x14ac:dyDescent="0.2">
      <c r="D66" s="17"/>
      <c r="H66" s="17"/>
      <c r="I66" s="17"/>
      <c r="J66" s="17"/>
      <c r="K66" s="17"/>
      <c r="L66" s="17"/>
      <c r="M66" s="17"/>
      <c r="N66" s="17"/>
    </row>
    <row r="67" spans="1:14" x14ac:dyDescent="0.2">
      <c r="B67" s="18" t="s">
        <v>54</v>
      </c>
      <c r="D67" s="17"/>
      <c r="H67" s="19">
        <f>SUM(H64:H66)</f>
        <v>508</v>
      </c>
      <c r="I67" s="19">
        <f>SUM(I64:I66)</f>
        <v>584</v>
      </c>
      <c r="J67" s="19">
        <v>524</v>
      </c>
      <c r="K67" s="19">
        <f>SUM(K64:K66)</f>
        <v>534</v>
      </c>
      <c r="L67" s="19">
        <v>515</v>
      </c>
      <c r="M67" s="19">
        <f>SUM(M64:M66)</f>
        <v>610</v>
      </c>
      <c r="N67" s="19">
        <f>SUM(N64:N66)</f>
        <v>626</v>
      </c>
    </row>
    <row r="68" spans="1:14" x14ac:dyDescent="0.2">
      <c r="H68" s="10"/>
      <c r="I68" s="10"/>
      <c r="J68" s="10"/>
      <c r="K68" s="10"/>
      <c r="L68" s="10"/>
      <c r="M68" s="10"/>
      <c r="N68" s="10"/>
    </row>
    <row r="69" spans="1:14" x14ac:dyDescent="0.2">
      <c r="A69" s="18" t="s">
        <v>55</v>
      </c>
      <c r="F69" s="20">
        <v>455</v>
      </c>
      <c r="G69" s="20">
        <v>562</v>
      </c>
      <c r="H69" s="20">
        <v>503</v>
      </c>
      <c r="I69" s="20">
        <v>559</v>
      </c>
      <c r="J69" s="20">
        <v>548</v>
      </c>
      <c r="K69" s="20">
        <v>525</v>
      </c>
      <c r="L69" s="20">
        <v>527</v>
      </c>
      <c r="M69" s="20">
        <v>495</v>
      </c>
      <c r="N69" s="20">
        <v>590</v>
      </c>
    </row>
    <row r="71" spans="1:14" x14ac:dyDescent="0.2">
      <c r="A71" s="18" t="s">
        <v>56</v>
      </c>
    </row>
    <row r="72" spans="1:14" x14ac:dyDescent="0.2">
      <c r="B72" s="2" t="s">
        <v>57</v>
      </c>
      <c r="J72" s="21">
        <v>25</v>
      </c>
      <c r="K72" s="21">
        <v>11</v>
      </c>
      <c r="L72" s="21">
        <v>32</v>
      </c>
      <c r="M72" s="21">
        <v>16</v>
      </c>
      <c r="N72" s="21">
        <v>55</v>
      </c>
    </row>
    <row r="73" spans="1:14" x14ac:dyDescent="0.2">
      <c r="B73" s="2" t="s">
        <v>58</v>
      </c>
      <c r="J73" s="21">
        <v>17</v>
      </c>
      <c r="K73" s="21">
        <v>13</v>
      </c>
      <c r="L73" s="21">
        <v>24</v>
      </c>
      <c r="M73" s="21">
        <v>10</v>
      </c>
      <c r="N73" s="21">
        <v>13</v>
      </c>
    </row>
    <row r="74" spans="1:14" x14ac:dyDescent="0.2">
      <c r="J74" s="20">
        <f>SUM(J72:J73)</f>
        <v>42</v>
      </c>
      <c r="K74" s="20">
        <f>SUM(K72:K73)</f>
        <v>24</v>
      </c>
      <c r="L74" s="20">
        <f>SUM(L72:L73)</f>
        <v>56</v>
      </c>
      <c r="M74" s="20">
        <f>SUM(M72:M73)</f>
        <v>26</v>
      </c>
      <c r="N74" s="20">
        <f>SUM(N72:N73)</f>
        <v>68</v>
      </c>
    </row>
    <row r="75" spans="1:14" x14ac:dyDescent="0.2">
      <c r="M75" s="21"/>
      <c r="N75" s="21"/>
    </row>
    <row r="76" spans="1:14" x14ac:dyDescent="0.2">
      <c r="A76" s="18" t="s">
        <v>59</v>
      </c>
    </row>
    <row r="77" spans="1:14" x14ac:dyDescent="0.2">
      <c r="B77" s="2" t="s">
        <v>57</v>
      </c>
      <c r="J77" s="21">
        <v>302</v>
      </c>
      <c r="K77" s="21">
        <v>335</v>
      </c>
      <c r="L77" s="21">
        <v>313</v>
      </c>
      <c r="M77" s="21">
        <v>333</v>
      </c>
      <c r="N77" s="21">
        <v>348</v>
      </c>
    </row>
    <row r="78" spans="1:14" x14ac:dyDescent="0.2">
      <c r="B78" s="2" t="s">
        <v>58</v>
      </c>
      <c r="J78" s="21">
        <v>279</v>
      </c>
      <c r="K78" s="21">
        <v>274</v>
      </c>
      <c r="L78" s="21">
        <v>251</v>
      </c>
      <c r="M78" s="21">
        <v>264</v>
      </c>
      <c r="N78" s="21">
        <v>296</v>
      </c>
    </row>
    <row r="79" spans="1:14" x14ac:dyDescent="0.2">
      <c r="J79" s="20">
        <f>SUM(J77:J78)</f>
        <v>581</v>
      </c>
      <c r="K79" s="20">
        <f>SUM(K77:K78)</f>
        <v>609</v>
      </c>
      <c r="L79" s="20">
        <f>SUM(L77:L78)</f>
        <v>564</v>
      </c>
      <c r="M79" s="20">
        <f>SUM(M77:M78)</f>
        <v>597</v>
      </c>
      <c r="N79" s="20">
        <f>SUM(N77:N78)</f>
        <v>644</v>
      </c>
    </row>
  </sheetData>
  <printOptions horizontalCentered="1" gridLines="1"/>
  <pageMargins left="0" right="0" top="0" bottom="0" header="0" footer="0"/>
  <pageSetup scale="74" orientation="portrait" r:id="rId1"/>
  <headerFooter>
    <oddFooter>&amp;R&amp;Z
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FS-HIST</vt:lpstr>
      <vt:lpstr>'FS-HIST'!Print_Titles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Young</dc:creator>
  <cp:lastModifiedBy>Richard Young</cp:lastModifiedBy>
  <dcterms:created xsi:type="dcterms:W3CDTF">2021-01-07T14:41:00Z</dcterms:created>
  <dcterms:modified xsi:type="dcterms:W3CDTF">2021-01-07T14:44:26Z</dcterms:modified>
</cp:coreProperties>
</file>